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d9393\OneDrive - Bray International, Inc\Frese\"/>
    </mc:Choice>
  </mc:AlternateContent>
  <xr:revisionPtr revIDLastSave="0" documentId="13_ncr:1_{B38DC146-E883-4C09-837A-AB01C2A2299E}" xr6:coauthVersionLast="41" xr6:coauthVersionMax="41" xr10:uidLastSave="{00000000-0000-0000-0000-000000000000}"/>
  <workbookProtection workbookAlgorithmName="SHA-512" workbookHashValue="pA/sqkvBql8Od3LSMUIj4HDs0Ggt+BISMNEqt3XaX8jaJ28EOe9gKmsYQuAeKiMCeSf/8KrGzi2mo4TFkDO8Mg==" workbookSaltValue="C8yFhyNndnBUtsik4OYj2g==" workbookSpinCount="100000" lockStructure="1"/>
  <bookViews>
    <workbookView xWindow="-98" yWindow="-98" windowWidth="20715" windowHeight="13276" xr2:uid="{00000000-000D-0000-FFFF-FFFF00000000}"/>
  </bookViews>
  <sheets>
    <sheet name="Bray Simple Set Max" sheetId="21" r:id="rId1"/>
  </sheets>
  <definedNames>
    <definedName name="_xlnm.Print_Area" localSheetId="0">'Bray Simple Set Max'!$A$1:$K$38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1" l="1"/>
  <c r="J47" i="21" l="1"/>
  <c r="J54" i="21"/>
  <c r="J46" i="21"/>
  <c r="J61" i="21"/>
  <c r="J45" i="21"/>
  <c r="J57" i="21"/>
  <c r="J48" i="21"/>
  <c r="J53" i="21"/>
  <c r="J60" i="21"/>
  <c r="J52" i="21"/>
  <c r="J44" i="21"/>
  <c r="J49" i="21"/>
  <c r="D16" i="21" s="1"/>
  <c r="J56" i="21"/>
  <c r="J59" i="21"/>
  <c r="J51" i="21"/>
  <c r="J58" i="21"/>
  <c r="J50" i="21"/>
  <c r="J55" i="21"/>
  <c r="D27" i="21" l="1"/>
  <c r="E27" i="21" s="1"/>
  <c r="F27" i="21" s="1"/>
  <c r="D25" i="21"/>
  <c r="E25" i="21" s="1"/>
  <c r="F25" i="21" s="1"/>
  <c r="D26" i="21"/>
  <c r="E26" i="21" s="1"/>
  <c r="F26" i="21" s="1"/>
  <c r="D28" i="21"/>
  <c r="E28" i="21" s="1"/>
  <c r="F28" i="21" s="1"/>
  <c r="D23" i="21" l="1"/>
  <c r="E23" i="21" s="1"/>
  <c r="F23" i="21" s="1"/>
  <c r="D24" i="21"/>
  <c r="E24" i="21" s="1"/>
  <c r="F24" i="21" s="1"/>
  <c r="D20" i="21" l="1"/>
  <c r="E19" i="21"/>
  <c r="F19" i="21" s="1"/>
  <c r="E18" i="21"/>
  <c r="F18" i="21" s="1"/>
  <c r="E17" i="21"/>
  <c r="F17" i="21" s="1"/>
  <c r="D12" i="21"/>
  <c r="E16" i="21" l="1"/>
  <c r="F16" i="21" s="1"/>
  <c r="D18" i="21"/>
  <c r="E12" i="21"/>
  <c r="F12" i="21" s="1"/>
  <c r="E20" i="21"/>
  <c r="F20" i="21" s="1"/>
  <c r="D14" i="21"/>
  <c r="E14" i="21" s="1"/>
  <c r="F14" i="21" s="1"/>
  <c r="D22" i="21"/>
  <c r="E22" i="21" s="1"/>
  <c r="F22" i="21" s="1"/>
  <c r="D11" i="21"/>
  <c r="E11" i="21" s="1"/>
  <c r="F11" i="21" s="1"/>
  <c r="D15" i="21"/>
  <c r="E15" i="21" s="1"/>
  <c r="F15" i="21" s="1"/>
  <c r="D19" i="21"/>
  <c r="D13" i="21"/>
  <c r="E13" i="21" s="1"/>
  <c r="F13" i="21" s="1"/>
  <c r="D17" i="21"/>
  <c r="D21" i="21"/>
  <c r="E21" i="21" s="1"/>
  <c r="F21" i="21" s="1"/>
</calcChain>
</file>

<file path=xl/sharedStrings.xml><?xml version="1.0" encoding="utf-8"?>
<sst xmlns="http://schemas.openxmlformats.org/spreadsheetml/2006/main" count="98" uniqueCount="89">
  <si>
    <t>Type</t>
  </si>
  <si>
    <t>X</t>
  </si>
  <si>
    <t>Z</t>
  </si>
  <si>
    <t>Min</t>
  </si>
  <si>
    <t>Max</t>
  </si>
  <si>
    <t>Evaluering af Flow</t>
  </si>
  <si>
    <t>Kvs</t>
  </si>
  <si>
    <t xml:space="preserve">ACHTUNG !!   BITTE HIER NICHT DATEN ÄNDERN </t>
  </si>
  <si>
    <t>Dimension</t>
  </si>
  <si>
    <t>Input</t>
  </si>
  <si>
    <t>Input    Q =</t>
  </si>
  <si>
    <t>Range</t>
  </si>
  <si>
    <t>Pre-set</t>
  </si>
  <si>
    <t>Eingabe dP =</t>
  </si>
  <si>
    <t>(kPa) Differenzdruck am Ventil</t>
  </si>
  <si>
    <t>Calculation</t>
  </si>
  <si>
    <t>Min. ∆P (kPa)</t>
  </si>
  <si>
    <t xml:space="preserve">Range ∆Pp is defined from Min. Pump pressure (Min. ∆Pp) to Max. Pump pressure (Max.∆Pp) .    </t>
  </si>
  <si>
    <t>DN50 Low Flow</t>
  </si>
  <si>
    <t>DN50 High Flow</t>
  </si>
  <si>
    <t>DN65 Low Flow</t>
  </si>
  <si>
    <t>DN65 High Flow</t>
  </si>
  <si>
    <t>DN80 Low Flow</t>
  </si>
  <si>
    <t>DN80 High Flow</t>
  </si>
  <si>
    <t>DN100 Low Flow</t>
  </si>
  <si>
    <t>DN100 High Flow</t>
  </si>
  <si>
    <t>DN125 Low Flow</t>
  </si>
  <si>
    <t>DN125 High Flow</t>
  </si>
  <si>
    <t>DN150 Low Flow</t>
  </si>
  <si>
    <t>DN150 High Flow</t>
  </si>
  <si>
    <t>DN200 Low Flow</t>
  </si>
  <si>
    <t>DN200 High Flow</t>
  </si>
  <si>
    <t>Min. ∆P (psi)</t>
  </si>
  <si>
    <t>(gpm) Flow</t>
  </si>
  <si>
    <t>Flow (gpm)</t>
  </si>
  <si>
    <t>10,92 - 66,03</t>
  </si>
  <si>
    <t>17,28 - 105,65</t>
  </si>
  <si>
    <t>19,27 - 110,06</t>
  </si>
  <si>
    <t>26,21 - 154,11</t>
  </si>
  <si>
    <t>25,53 - 149,78</t>
  </si>
  <si>
    <t>30,92 - 189,47</t>
  </si>
  <si>
    <t>46,23 - 308,20</t>
  </si>
  <si>
    <t>59,44 - 396,26</t>
  </si>
  <si>
    <t>81,45 - 484,32</t>
  </si>
  <si>
    <t>101,26 - 594,39</t>
  </si>
  <si>
    <t>112,71 - 651,59</t>
  </si>
  <si>
    <t>140,89 - 858,56</t>
  </si>
  <si>
    <t>Range ∆Pp(psi)</t>
  </si>
  <si>
    <t>1,02 - 116,03</t>
  </si>
  <si>
    <t>2,76 - 116,03</t>
  </si>
  <si>
    <t>2,18 - 116,03</t>
  </si>
  <si>
    <t>4,35 - 116,03</t>
  </si>
  <si>
    <t>2,32 - 116,03</t>
  </si>
  <si>
    <t>3,34 - 116,03</t>
  </si>
  <si>
    <t>2,90 - 116,03</t>
  </si>
  <si>
    <t>3,92 - 116,03</t>
  </si>
  <si>
    <t>3,05 - 116,03</t>
  </si>
  <si>
    <t>4,79 - 116,03</t>
  </si>
  <si>
    <t>DN250 Low Flow</t>
  </si>
  <si>
    <t>DN250 High Flow</t>
  </si>
  <si>
    <t>DN300 Low Flow</t>
  </si>
  <si>
    <t>DN300 High Flow</t>
  </si>
  <si>
    <t>1,59 - 116,03</t>
  </si>
  <si>
    <t>4,50 - 116,03</t>
  </si>
  <si>
    <t>1,45 - 116,03</t>
  </si>
  <si>
    <t>418,3 - 925,5</t>
  </si>
  <si>
    <t>572,4 - 1232,7</t>
  </si>
  <si>
    <t>836,6 - 2091,3</t>
  </si>
  <si>
    <t>1078,8 - 2641,7</t>
  </si>
  <si>
    <t>2.5" SSM-250-A-L</t>
  </si>
  <si>
    <t>2.5" SSM-250-A-H</t>
  </si>
  <si>
    <t>3" SSM-3-A-L</t>
  </si>
  <si>
    <t>3" SSM-3-A-H</t>
  </si>
  <si>
    <t>4" SSM-4-A-L</t>
  </si>
  <si>
    <t>4" SSM-4-A-H</t>
  </si>
  <si>
    <t>QUICK - CALC Bray Simple Set Max Pressure Independent Control Valve</t>
  </si>
  <si>
    <t>Setting &amp; Selection Program</t>
  </si>
  <si>
    <t>Enter your specified gallon per minute (gpm) flow in the yellow box and refer to the red column (D) for the required setting on your desired valve size.</t>
  </si>
  <si>
    <t>5" SSM-5-A-L</t>
  </si>
  <si>
    <t>5" SSM-5-A-H</t>
  </si>
  <si>
    <t>6" SSM-6-A-L</t>
  </si>
  <si>
    <t>6" SSM-6-A-H</t>
  </si>
  <si>
    <t>8" SSM-8-A-L</t>
  </si>
  <si>
    <t>8" SSM-8-A-H</t>
  </si>
  <si>
    <t>10" SSM-10-A-L</t>
  </si>
  <si>
    <t>10" SSM-10-A-H</t>
  </si>
  <si>
    <t>12" SSM-12-A-L</t>
  </si>
  <si>
    <t>12" SSM-12-A-H</t>
  </si>
  <si>
    <t>The following Covers ANSI125/150 &amp; ANSI 250/300 Models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</si>
</sst>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E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16" fillId="20" borderId="1" applyNumberFormat="0" applyAlignment="0" applyProtection="0"/>
    <xf numFmtId="0" fontId="17" fillId="20" borderId="3" applyNumberFormat="0" applyAlignment="0" applyProtection="0"/>
    <xf numFmtId="0" fontId="15" fillId="7" borderId="3" applyNumberFormat="0" applyAlignment="0" applyProtection="0"/>
    <xf numFmtId="0" fontId="23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0" fontId="7" fillId="21" borderId="2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3" borderId="0" applyNumberFormat="0" applyBorder="0" applyAlignment="0" applyProtection="0"/>
    <xf numFmtId="0" fontId="18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9" fillId="22" borderId="5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3" borderId="0" xfId="0" applyFont="1" applyFill="1" applyBorder="1"/>
    <xf numFmtId="0" fontId="0" fillId="0" borderId="24" xfId="0" applyBorder="1"/>
    <xf numFmtId="0" fontId="2" fillId="25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1" fillId="0" borderId="10" xfId="31" applyNumberForma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3" borderId="0" xfId="44" applyFill="1"/>
    <xf numFmtId="0" fontId="1" fillId="0" borderId="0" xfId="44"/>
    <xf numFmtId="0" fontId="2" fillId="0" borderId="20" xfId="44" applyFont="1" applyBorder="1"/>
    <xf numFmtId="0" fontId="1" fillId="0" borderId="20" xfId="44" applyBorder="1"/>
    <xf numFmtId="0" fontId="1" fillId="0" borderId="21" xfId="44" applyBorder="1"/>
    <xf numFmtId="0" fontId="1" fillId="0" borderId="23" xfId="44" applyBorder="1"/>
    <xf numFmtId="0" fontId="1" fillId="0" borderId="0" xfId="44" applyBorder="1"/>
    <xf numFmtId="0" fontId="2" fillId="0" borderId="0" xfId="44" applyFont="1" applyBorder="1" applyAlignment="1"/>
    <xf numFmtId="0" fontId="1" fillId="0" borderId="22" xfId="44" applyBorder="1"/>
    <xf numFmtId="0" fontId="2" fillId="0" borderId="23" xfId="44" applyFont="1" applyBorder="1"/>
    <xf numFmtId="0" fontId="2" fillId="24" borderId="0" xfId="44" applyFont="1" applyFill="1" applyBorder="1" applyAlignment="1" applyProtection="1">
      <alignment horizontal="center"/>
      <protection locked="0"/>
    </xf>
    <xf numFmtId="0" fontId="2" fillId="23" borderId="0" xfId="44" applyFont="1" applyFill="1" applyBorder="1"/>
    <xf numFmtId="0" fontId="2" fillId="24" borderId="30" xfId="44" applyFont="1" applyFill="1" applyBorder="1" applyAlignment="1" applyProtection="1">
      <alignment horizontal="center"/>
      <protection locked="0"/>
    </xf>
    <xf numFmtId="0" fontId="2" fillId="0" borderId="0" xfId="44" applyFont="1"/>
    <xf numFmtId="0" fontId="2" fillId="0" borderId="0" xfId="44" applyFont="1" applyBorder="1"/>
    <xf numFmtId="0" fontId="2" fillId="26" borderId="14" xfId="44" applyFont="1" applyFill="1" applyBorder="1" applyAlignment="1">
      <alignment horizontal="left" vertical="center"/>
    </xf>
    <xf numFmtId="0" fontId="2" fillId="26" borderId="10" xfId="44" applyFont="1" applyFill="1" applyBorder="1" applyAlignment="1">
      <alignment horizontal="center"/>
    </xf>
    <xf numFmtId="0" fontId="2" fillId="0" borderId="14" xfId="44" applyFont="1" applyFill="1" applyBorder="1" applyAlignment="1">
      <alignment horizontal="left" vertical="center"/>
    </xf>
    <xf numFmtId="0" fontId="2" fillId="0" borderId="10" xfId="44" applyFont="1" applyFill="1" applyBorder="1" applyAlignment="1">
      <alignment horizontal="center"/>
    </xf>
    <xf numFmtId="0" fontId="2" fillId="0" borderId="16" xfId="44" applyFont="1" applyFill="1" applyBorder="1" applyAlignment="1">
      <alignment horizontal="left" vertical="center"/>
    </xf>
    <xf numFmtId="0" fontId="2" fillId="0" borderId="17" xfId="44" applyFont="1" applyFill="1" applyBorder="1" applyAlignment="1">
      <alignment horizontal="center"/>
    </xf>
    <xf numFmtId="0" fontId="1" fillId="0" borderId="0" xfId="44" applyFont="1"/>
    <xf numFmtId="164" fontId="1" fillId="23" borderId="0" xfId="44" applyNumberFormat="1" applyFill="1" applyBorder="1"/>
    <xf numFmtId="0" fontId="1" fillId="0" borderId="25" xfId="44" applyBorder="1"/>
    <xf numFmtId="0" fontId="1" fillId="0" borderId="25" xfId="44" applyNumberFormat="1" applyBorder="1"/>
    <xf numFmtId="0" fontId="1" fillId="0" borderId="26" xfId="44" applyBorder="1"/>
    <xf numFmtId="0" fontId="1" fillId="0" borderId="0" xfId="44" applyNumberFormat="1"/>
    <xf numFmtId="0" fontId="27" fillId="0" borderId="0" xfId="44" applyFont="1" applyAlignment="1">
      <alignment horizontal="center" vertical="center" readingOrder="1"/>
    </xf>
    <xf numFmtId="0" fontId="6" fillId="23" borderId="0" xfId="44" applyFont="1" applyFill="1"/>
    <xf numFmtId="0" fontId="3" fillId="0" borderId="0" xfId="44" applyFont="1" applyFill="1"/>
    <xf numFmtId="0" fontId="3" fillId="0" borderId="0" xfId="44" applyFont="1"/>
    <xf numFmtId="0" fontId="2" fillId="0" borderId="11" xfId="44" applyFont="1" applyBorder="1" applyAlignment="1">
      <alignment horizontal="center" vertical="center"/>
    </xf>
    <xf numFmtId="0" fontId="2" fillId="0" borderId="28" xfId="44" applyFont="1" applyBorder="1" applyAlignment="1">
      <alignment horizontal="center" vertical="center"/>
    </xf>
    <xf numFmtId="0" fontId="2" fillId="0" borderId="12" xfId="44" applyFont="1" applyBorder="1" applyAlignment="1">
      <alignment horizontal="center" vertical="center"/>
    </xf>
    <xf numFmtId="0" fontId="2" fillId="0" borderId="12" xfId="44" applyFont="1" applyBorder="1" applyAlignment="1">
      <alignment horizontal="center"/>
    </xf>
    <xf numFmtId="0" fontId="2" fillId="0" borderId="13" xfId="44" applyFont="1" applyBorder="1" applyAlignment="1">
      <alignment horizontal="center"/>
    </xf>
    <xf numFmtId="0" fontId="1" fillId="26" borderId="29" xfId="44" applyFont="1" applyFill="1" applyBorder="1" applyAlignment="1">
      <alignment horizontal="left" vertical="center"/>
    </xf>
    <xf numFmtId="0" fontId="1" fillId="0" borderId="27" xfId="44" applyBorder="1" applyAlignment="1">
      <alignment horizontal="left" vertical="center"/>
    </xf>
    <xf numFmtId="2" fontId="3" fillId="0" borderId="10" xfId="44" applyNumberFormat="1" applyFont="1" applyBorder="1" applyAlignment="1" applyProtection="1">
      <alignment horizontal="center" vertical="center"/>
    </xf>
    <xf numFmtId="2" fontId="3" fillId="0" borderId="10" xfId="44" applyNumberFormat="1" applyFont="1" applyFill="1" applyBorder="1" applyAlignment="1" applyProtection="1">
      <alignment horizontal="center" vertical="center"/>
    </xf>
    <xf numFmtId="2" fontId="8" fillId="0" borderId="10" xfId="44" applyNumberFormat="1" applyFont="1" applyBorder="1" applyAlignment="1" applyProtection="1">
      <alignment horizontal="center" vertical="center"/>
    </xf>
    <xf numFmtId="2" fontId="1" fillId="0" borderId="10" xfId="45" applyNumberFormat="1" applyBorder="1" applyAlignment="1">
      <alignment horizontal="center" vertical="center"/>
    </xf>
    <xf numFmtId="2" fontId="1" fillId="0" borderId="10" xfId="44" applyNumberFormat="1" applyBorder="1" applyAlignment="1">
      <alignment horizontal="center" vertical="center"/>
    </xf>
    <xf numFmtId="0" fontId="1" fillId="0" borderId="10" xfId="44" applyBorder="1" applyAlignment="1">
      <alignment horizontal="center"/>
    </xf>
    <xf numFmtId="0" fontId="1" fillId="0" borderId="15" xfId="44" applyBorder="1" applyAlignment="1">
      <alignment horizontal="center"/>
    </xf>
    <xf numFmtId="0" fontId="1" fillId="0" borderId="14" xfId="44" applyFont="1" applyFill="1" applyBorder="1" applyAlignment="1">
      <alignment horizontal="left" vertical="center"/>
    </xf>
    <xf numFmtId="0" fontId="1" fillId="26" borderId="14" xfId="44" applyFont="1" applyFill="1" applyBorder="1" applyAlignment="1">
      <alignment horizontal="left" vertical="center"/>
    </xf>
    <xf numFmtId="1" fontId="2" fillId="25" borderId="10" xfId="44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right"/>
    </xf>
    <xf numFmtId="1" fontId="2" fillId="25" borderId="10" xfId="44" applyNumberFormat="1" applyFont="1" applyFill="1" applyBorder="1" applyAlignment="1" applyProtection="1">
      <alignment horizontal="center"/>
      <protection hidden="1"/>
    </xf>
    <xf numFmtId="1" fontId="2" fillId="25" borderId="17" xfId="44" applyNumberFormat="1" applyFont="1" applyFill="1" applyBorder="1" applyAlignment="1" applyProtection="1">
      <alignment horizontal="center"/>
      <protection hidden="1"/>
    </xf>
    <xf numFmtId="0" fontId="5" fillId="0" borderId="20" xfId="0" applyFont="1" applyFill="1" applyBorder="1" applyAlignment="1"/>
    <xf numFmtId="0" fontId="5" fillId="0" borderId="25" xfId="0" applyFont="1" applyFill="1" applyBorder="1" applyAlignment="1"/>
    <xf numFmtId="0" fontId="28" fillId="28" borderId="19" xfId="0" applyFont="1" applyFill="1" applyBorder="1" applyAlignment="1"/>
    <xf numFmtId="0" fontId="28" fillId="28" borderId="20" xfId="0" applyFont="1" applyFill="1" applyBorder="1" applyAlignment="1"/>
    <xf numFmtId="0" fontId="28" fillId="28" borderId="24" xfId="0" applyFont="1" applyFill="1" applyBorder="1" applyAlignment="1"/>
    <xf numFmtId="0" fontId="28" fillId="28" borderId="25" xfId="0" applyFont="1" applyFill="1" applyBorder="1" applyAlignment="1"/>
    <xf numFmtId="14" fontId="26" fillId="0" borderId="21" xfId="0" applyNumberFormat="1" applyFont="1" applyFill="1" applyBorder="1" applyAlignment="1">
      <alignment horizontal="right"/>
    </xf>
    <xf numFmtId="0" fontId="5" fillId="0" borderId="26" xfId="0" applyFont="1" applyFill="1" applyBorder="1" applyAlignment="1"/>
    <xf numFmtId="0" fontId="2" fillId="29" borderId="10" xfId="0" applyFont="1" applyFill="1" applyBorder="1" applyAlignment="1">
      <alignment horizontal="center"/>
    </xf>
    <xf numFmtId="164" fontId="2" fillId="29" borderId="10" xfId="44" applyNumberFormat="1" applyFont="1" applyFill="1" applyBorder="1" applyAlignment="1">
      <alignment horizontal="center"/>
    </xf>
    <xf numFmtId="164" fontId="2" fillId="29" borderId="10" xfId="44" applyNumberFormat="1" applyFont="1" applyFill="1" applyBorder="1" applyAlignment="1" applyProtection="1">
      <alignment horizontal="center"/>
      <protection hidden="1"/>
    </xf>
    <xf numFmtId="164" fontId="2" fillId="29" borderId="17" xfId="44" applyNumberFormat="1" applyFont="1" applyFill="1" applyBorder="1" applyAlignment="1" applyProtection="1">
      <alignment horizontal="center"/>
      <protection hidden="1"/>
    </xf>
    <xf numFmtId="0" fontId="2" fillId="30" borderId="15" xfId="0" applyFont="1" applyFill="1" applyBorder="1" applyAlignment="1">
      <alignment horizontal="center"/>
    </xf>
    <xf numFmtId="1" fontId="2" fillId="30" borderId="15" xfId="44" applyNumberFormat="1" applyFont="1" applyFill="1" applyBorder="1" applyAlignment="1">
      <alignment horizontal="center"/>
    </xf>
    <xf numFmtId="0" fontId="29" fillId="0" borderId="19" xfId="44" applyFont="1" applyBorder="1"/>
    <xf numFmtId="0" fontId="2" fillId="31" borderId="30" xfId="44" applyFont="1" applyFill="1" applyBorder="1" applyAlignment="1" applyProtection="1">
      <alignment horizontal="center"/>
      <protection locked="0"/>
    </xf>
    <xf numFmtId="2" fontId="2" fillId="30" borderId="15" xfId="44" applyNumberFormat="1" applyFont="1" applyFill="1" applyBorder="1" applyAlignment="1">
      <alignment horizontal="center"/>
    </xf>
    <xf numFmtId="2" fontId="2" fillId="30" borderId="18" xfId="44" applyNumberFormat="1" applyFont="1" applyFill="1" applyBorder="1" applyAlignment="1">
      <alignment horizontal="center"/>
    </xf>
    <xf numFmtId="0" fontId="4" fillId="27" borderId="0" xfId="44" applyFont="1" applyFill="1" applyAlignment="1">
      <alignment horizontal="center"/>
    </xf>
    <xf numFmtId="0" fontId="4" fillId="0" borderId="0" xfId="44" applyFont="1" applyAlignment="1">
      <alignment horizontal="center"/>
    </xf>
    <xf numFmtId="0" fontId="2" fillId="0" borderId="11" xfId="44" applyFont="1" applyBorder="1" applyAlignment="1">
      <alignment horizontal="center"/>
    </xf>
    <xf numFmtId="0" fontId="2" fillId="0" borderId="14" xfId="44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47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Comma" xfId="31" builtinId="3"/>
    <cellStyle name="Eingabe" xfId="27" xr:uid="{00000000-0005-0000-0000-00001B000000}"/>
    <cellStyle name="Ergebnis" xfId="28" xr:uid="{00000000-0005-0000-0000-00001C000000}"/>
    <cellStyle name="Erklärender Text" xfId="29" xr:uid="{00000000-0005-0000-0000-00001D000000}"/>
    <cellStyle name="Gut" xfId="30" xr:uid="{00000000-0005-0000-0000-00001E000000}"/>
    <cellStyle name="Komma 2" xfId="45" xr:uid="{00000000-0005-0000-0000-00001F000000}"/>
    <cellStyle name="Komma 2 2" xfId="46" xr:uid="{00000000-0005-0000-0000-000020000000}"/>
    <cellStyle name="Normal" xfId="0" builtinId="0"/>
    <cellStyle name="Normal 2" xfId="44" xr:uid="{00000000-0005-0000-0000-000022000000}"/>
    <cellStyle name="Notiz" xfId="32" xr:uid="{00000000-0005-0000-0000-000023000000}"/>
    <cellStyle name="Procent 2" xfId="33" xr:uid="{00000000-0005-0000-0000-000024000000}"/>
    <cellStyle name="Procent 2 2" xfId="34" xr:uid="{00000000-0005-0000-0000-000025000000}"/>
    <cellStyle name="Schlecht" xfId="35" xr:uid="{00000000-0005-0000-0000-000026000000}"/>
    <cellStyle name="Überschrift" xfId="38" xr:uid="{00000000-0005-0000-0000-000027000000}"/>
    <cellStyle name="Überschrift 1" xfId="39" xr:uid="{00000000-0005-0000-0000-000028000000}"/>
    <cellStyle name="Überschrift 2" xfId="40" xr:uid="{00000000-0005-0000-0000-000029000000}"/>
    <cellStyle name="Überschrift 3" xfId="41" xr:uid="{00000000-0005-0000-0000-00002A000000}"/>
    <cellStyle name="Überschrift 4" xfId="42" xr:uid="{00000000-0005-0000-0000-00002B000000}"/>
    <cellStyle name="Verknüpfte Zelle" xfId="36" xr:uid="{00000000-0005-0000-0000-00002C000000}"/>
    <cellStyle name="Warnender Text" xfId="37" xr:uid="{00000000-0005-0000-0000-00002D000000}"/>
    <cellStyle name="Zelle überprüfen" xfId="43" xr:uid="{00000000-0005-0000-0000-00002E000000}"/>
  </cellStyles>
  <dxfs count="0"/>
  <tableStyles count="0" defaultTableStyle="TableStyleMedium2" defaultPivotStyle="PivotStyleLight16"/>
  <colors>
    <mruColors>
      <color rgb="FFFFC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1008062</xdr:colOff>
      <xdr:row>28</xdr:row>
      <xdr:rowOff>87312</xdr:rowOff>
    </xdr:from>
    <xdr:to>
      <xdr:col>5</xdr:col>
      <xdr:colOff>207962</xdr:colOff>
      <xdr:row>36</xdr:row>
      <xdr:rowOff>36512</xdr:rowOff>
    </xdr:to>
    <xdr:pic>
      <xdr:nvPicPr>
        <xdr:cNvPr id="3" name="Billed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1712" y="3754437"/>
          <a:ext cx="1343025" cy="125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390525</xdr:colOff>
      <xdr:row>7</xdr:row>
      <xdr:rowOff>19051</xdr:rowOff>
    </xdr:from>
    <xdr:to>
      <xdr:col>10</xdr:col>
      <xdr:colOff>857250</xdr:colOff>
      <xdr:row>37</xdr:row>
      <xdr:rowOff>76201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1228726"/>
          <a:ext cx="3086100" cy="462915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0</xdr:row>
      <xdr:rowOff>104775</xdr:rowOff>
    </xdr:from>
    <xdr:to>
      <xdr:col>10</xdr:col>
      <xdr:colOff>1299113</xdr:colOff>
      <xdr:row>1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04775"/>
          <a:ext cx="2442113" cy="333375"/>
        </a:xfrm>
        <a:prstGeom prst="rect">
          <a:avLst/>
        </a:prstGeom>
      </xdr:spPr>
    </xdr:pic>
    <xdr:clientData/>
  </xdr:twoCellAnchor>
  <xdr:twoCellAnchor>
    <xdr:from>
      <xdr:col>5</xdr:col>
      <xdr:colOff>104775</xdr:colOff>
      <xdr:row>20</xdr:row>
      <xdr:rowOff>114300</xdr:rowOff>
    </xdr:from>
    <xdr:to>
      <xdr:col>9</xdr:col>
      <xdr:colOff>38100</xdr:colOff>
      <xdr:row>32</xdr:row>
      <xdr:rowOff>123825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4781550" y="3124200"/>
          <a:ext cx="2886075" cy="19716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showGridLines="0" tabSelected="1" zoomScaleNormal="100" workbookViewId="0">
      <selection activeCell="B6" sqref="B6"/>
    </sheetView>
  </sheetViews>
  <sheetFormatPr defaultColWidth="8.86328125" defaultRowHeight="12.75" x14ac:dyDescent="0.35"/>
  <cols>
    <col min="1" max="1" width="23.73046875" style="8" customWidth="1"/>
    <col min="2" max="2" width="14.265625" style="8" customWidth="1"/>
    <col min="3" max="3" width="15.73046875" style="8" customWidth="1"/>
    <col min="4" max="4" width="16.3984375" style="8" customWidth="1"/>
    <col min="5" max="5" width="15.73046875" style="8" hidden="1" customWidth="1"/>
    <col min="6" max="6" width="15.73046875" style="8" customWidth="1"/>
    <col min="7" max="8" width="10.73046875" style="8" customWidth="1"/>
    <col min="9" max="9" width="7.1328125" style="8" customWidth="1"/>
    <col min="10" max="10" width="10.73046875" style="8" customWidth="1"/>
    <col min="11" max="11" width="20.3984375" style="8" bestFit="1" customWidth="1"/>
    <col min="12" max="14" width="8.86328125" style="8"/>
    <col min="15" max="16" width="20.265625" style="8" bestFit="1" customWidth="1"/>
    <col min="17" max="16384" width="8.86328125" style="8"/>
  </cols>
  <sheetData>
    <row r="1" spans="1:12" ht="21" thickTop="1" x14ac:dyDescent="0.6">
      <c r="A1" s="60" t="s">
        <v>75</v>
      </c>
      <c r="B1" s="61"/>
      <c r="C1" s="61"/>
      <c r="D1" s="61"/>
      <c r="E1" s="61"/>
      <c r="F1" s="61"/>
      <c r="G1" s="61"/>
      <c r="H1" s="61"/>
      <c r="I1" s="58"/>
      <c r="J1" s="58"/>
      <c r="K1" s="64"/>
      <c r="L1" s="7"/>
    </row>
    <row r="2" spans="1:12" ht="21" thickBot="1" x14ac:dyDescent="0.65">
      <c r="A2" s="62" t="s">
        <v>76</v>
      </c>
      <c r="B2" s="63"/>
      <c r="C2" s="63"/>
      <c r="D2" s="63"/>
      <c r="E2" s="63"/>
      <c r="F2" s="63"/>
      <c r="G2" s="63"/>
      <c r="H2" s="63"/>
      <c r="I2" s="59"/>
      <c r="J2" s="59"/>
      <c r="K2" s="65"/>
      <c r="L2" s="7"/>
    </row>
    <row r="3" spans="1:12" ht="13.5" thickTop="1" x14ac:dyDescent="0.4">
      <c r="A3" s="72" t="s">
        <v>77</v>
      </c>
      <c r="B3" s="9"/>
      <c r="C3" s="9"/>
      <c r="D3" s="10"/>
      <c r="E3" s="10"/>
      <c r="F3" s="10"/>
      <c r="G3" s="10"/>
      <c r="H3" s="10"/>
      <c r="I3" s="10"/>
      <c r="J3" s="10"/>
      <c r="K3" s="11"/>
    </row>
    <row r="4" spans="1:12" ht="13.5" thickBot="1" x14ac:dyDescent="0.45">
      <c r="A4" s="12"/>
      <c r="B4" s="6" t="s">
        <v>9</v>
      </c>
      <c r="C4" s="13"/>
      <c r="D4" s="14"/>
      <c r="G4" s="13"/>
      <c r="H4" s="13"/>
      <c r="I4" s="13"/>
      <c r="J4" s="13"/>
      <c r="K4" s="15"/>
    </row>
    <row r="5" spans="1:12" ht="13.5" hidden="1" thickBot="1" x14ac:dyDescent="0.45">
      <c r="A5" s="16" t="s">
        <v>13</v>
      </c>
      <c r="B5" s="17">
        <v>20</v>
      </c>
      <c r="C5" s="18" t="s">
        <v>14</v>
      </c>
      <c r="G5" s="13"/>
      <c r="H5" s="13"/>
      <c r="I5" s="13"/>
      <c r="J5" s="13"/>
      <c r="K5" s="15"/>
    </row>
    <row r="6" spans="1:12" ht="13.5" thickBot="1" x14ac:dyDescent="0.45">
      <c r="A6" s="55" t="s">
        <v>10</v>
      </c>
      <c r="B6" s="73">
        <v>300</v>
      </c>
      <c r="C6" s="1" t="s">
        <v>33</v>
      </c>
      <c r="D6" s="20"/>
      <c r="E6" s="19">
        <f>(B6*227.1247)/1000</f>
        <v>68.137410000000003</v>
      </c>
      <c r="G6" s="13"/>
      <c r="H6" s="21"/>
      <c r="I6" s="13"/>
      <c r="J6" s="13"/>
      <c r="K6" s="15"/>
    </row>
    <row r="7" spans="1:12" ht="13.15" x14ac:dyDescent="0.4">
      <c r="A7" s="12"/>
      <c r="B7" s="13"/>
      <c r="C7" s="13"/>
      <c r="G7" s="13"/>
      <c r="H7" s="21"/>
      <c r="I7" s="13"/>
      <c r="J7" s="13"/>
      <c r="K7" s="15"/>
    </row>
    <row r="8" spans="1:12" ht="13.15" thickBot="1" x14ac:dyDescent="0.4">
      <c r="A8" s="12" t="s">
        <v>88</v>
      </c>
      <c r="B8" s="13"/>
      <c r="C8" s="13"/>
      <c r="D8" s="13"/>
      <c r="E8" s="13"/>
      <c r="F8" s="13"/>
      <c r="G8" s="13"/>
      <c r="H8" s="13"/>
      <c r="I8" s="13"/>
      <c r="J8" s="13"/>
      <c r="K8" s="15"/>
    </row>
    <row r="9" spans="1:12" ht="13.5" thickTop="1" x14ac:dyDescent="0.4">
      <c r="A9" s="78" t="s">
        <v>8</v>
      </c>
      <c r="B9" s="80" t="s">
        <v>11</v>
      </c>
      <c r="C9" s="80"/>
      <c r="D9" s="80" t="s">
        <v>15</v>
      </c>
      <c r="E9" s="80"/>
      <c r="F9" s="81"/>
      <c r="G9" s="13"/>
      <c r="H9" s="13"/>
      <c r="I9" s="13"/>
      <c r="J9" s="13"/>
      <c r="K9" s="15"/>
    </row>
    <row r="10" spans="1:12" ht="13.15" x14ac:dyDescent="0.4">
      <c r="A10" s="79"/>
      <c r="B10" s="4" t="s">
        <v>34</v>
      </c>
      <c r="C10" s="4" t="s">
        <v>47</v>
      </c>
      <c r="D10" s="66" t="s">
        <v>12</v>
      </c>
      <c r="E10" s="3" t="s">
        <v>16</v>
      </c>
      <c r="F10" s="70" t="s">
        <v>32</v>
      </c>
      <c r="G10" s="13"/>
      <c r="H10" s="13"/>
      <c r="I10" s="13"/>
      <c r="J10" s="13"/>
      <c r="K10" s="15"/>
    </row>
    <row r="11" spans="1:12" ht="13.15" hidden="1" x14ac:dyDescent="0.4">
      <c r="A11" s="22" t="s">
        <v>18</v>
      </c>
      <c r="B11" s="23" t="s">
        <v>35</v>
      </c>
      <c r="C11" s="23" t="s">
        <v>48</v>
      </c>
      <c r="D11" s="67" t="str">
        <f>IF(J44="UDEN FOR OMRÅDET","NOT POSSIBLE",IF(K44="UDEN FOR OMRÅDET","NOT POSSIBLE",(-0.0007*E6^3+0.0111*E6^2+0.2671*E6-0.1437)))</f>
        <v>NOT POSSIBLE</v>
      </c>
      <c r="E11" s="54" t="str">
        <f>IF(J44="UDEN FOR OMRÅDET","NOT POSSIBLE",IF($E$6&lt;3.9,6.5,((((0.25*D11^3-0.25*D11^2+0.5*D11+6))))))</f>
        <v>NOT POSSIBLE</v>
      </c>
      <c r="F11" s="71" t="str">
        <f>IF(E11="NOT POSSIBLE", "NOT POSSIBLE",(E11*0.145038))</f>
        <v>NOT POSSIBLE</v>
      </c>
      <c r="G11" s="13"/>
      <c r="H11" s="13"/>
      <c r="I11" s="13"/>
      <c r="J11" s="13"/>
      <c r="K11" s="15"/>
    </row>
    <row r="12" spans="1:12" ht="13.15" hidden="1" x14ac:dyDescent="0.4">
      <c r="A12" s="24" t="s">
        <v>19</v>
      </c>
      <c r="B12" s="25" t="s">
        <v>36</v>
      </c>
      <c r="C12" s="25" t="s">
        <v>49</v>
      </c>
      <c r="D12" s="67" t="str">
        <f>IF(J45="UDEN FOR OMRÅDET","NOT POSSIBLE",IF(K45="UDEN FOR OMRÅDET","NOT POSSIBLE",(-0.000159*E6^3+0.004239*E6^2+0.159774*E6-0.099711)))</f>
        <v>NOT POSSIBLE</v>
      </c>
      <c r="E12" s="54" t="str">
        <f>IF(J45="UDEN FOR OMRÅDET","NOT POSSIBLE",IF($E$6&lt;6.2,19,((((0.6667*D12^3-0.5*D12^2-1.1667*D12+20))))))</f>
        <v>NOT POSSIBLE</v>
      </c>
      <c r="F12" s="71" t="str">
        <f t="shared" ref="F12:F28" si="0">IF(E12="NOT POSSIBLE", "NOT POSSIBLE",(E12*0.145038))</f>
        <v>NOT POSSIBLE</v>
      </c>
      <c r="G12" s="13"/>
      <c r="H12" s="13"/>
      <c r="I12" s="13"/>
      <c r="J12" s="13"/>
      <c r="K12" s="15"/>
    </row>
    <row r="13" spans="1:12" ht="13.15" x14ac:dyDescent="0.4">
      <c r="A13" s="22" t="s">
        <v>69</v>
      </c>
      <c r="B13" s="23" t="s">
        <v>37</v>
      </c>
      <c r="C13" s="23" t="s">
        <v>50</v>
      </c>
      <c r="D13" s="67" t="str">
        <f>IF(J46="UDEN FOR OMRÅDET","NOT POSSIBLE",IF(K46="UDEN FOR OMRÅDET","NOT POSSIBLE",(-0.000124*E6^3+0.002487*E6^2+0.185365*E6-0.283831)))</f>
        <v>NOT POSSIBLE</v>
      </c>
      <c r="E13" s="54" t="str">
        <f>IF(J46="UDEN FOR OMRÅDET","NOT POSSIBLE",IF($E$6&lt;6.6,15,((((0.6667*D13^3-4.5*D13^2+11.833*D13+7))))))</f>
        <v>NOT POSSIBLE</v>
      </c>
      <c r="F13" s="74" t="str">
        <f t="shared" si="0"/>
        <v>NOT POSSIBLE</v>
      </c>
      <c r="G13" s="13"/>
      <c r="H13" s="13"/>
      <c r="I13" s="13"/>
      <c r="J13" s="13"/>
      <c r="K13" s="15"/>
    </row>
    <row r="14" spans="1:12" ht="13.15" x14ac:dyDescent="0.4">
      <c r="A14" s="24" t="s">
        <v>70</v>
      </c>
      <c r="B14" s="25" t="s">
        <v>38</v>
      </c>
      <c r="C14" s="25" t="s">
        <v>51</v>
      </c>
      <c r="D14" s="67" t="str">
        <f>IF(J47="UDEN FOR OMRÅDET","NOT POSSIBLE",IF(K47="UDEN FOR OMRÅDET","NOT POSSIBLE",(0.00000407*E6^4-0.00036799*E6^3+0.01016138*E6^2+0.03167768*E6+0.12121138)))</f>
        <v>NOT POSSIBLE</v>
      </c>
      <c r="E14" s="54" t="str">
        <f>IF(J47="UDEN FOR OMRÅDET","NOT POSSIBLE",IF($E$6&lt;9.1,30,((((2.6667*D14^3-15.5*D14^2+29.833*D14+13))))))</f>
        <v>NOT POSSIBLE</v>
      </c>
      <c r="F14" s="74" t="str">
        <f t="shared" si="0"/>
        <v>NOT POSSIBLE</v>
      </c>
      <c r="G14" s="13"/>
      <c r="H14" s="13"/>
      <c r="I14" s="13"/>
      <c r="J14" s="13"/>
      <c r="K14" s="15"/>
    </row>
    <row r="15" spans="1:12" ht="13.15" x14ac:dyDescent="0.4">
      <c r="A15" s="22" t="s">
        <v>71</v>
      </c>
      <c r="B15" s="23" t="s">
        <v>39</v>
      </c>
      <c r="C15" s="23" t="s">
        <v>52</v>
      </c>
      <c r="D15" s="67" t="str">
        <f>IF(J48="UDEN FOR OMRÅDET","NOT POSSIBLE",IF(K48="UDEN FOR OMRÅDET","NOT POSSIBLE",(-0.000044*E6^3+0.000728*E6^2+0.150689*E6-0.254301)))</f>
        <v>NOT POSSIBLE</v>
      </c>
      <c r="E15" s="54" t="str">
        <f>IF(J48="UDEN FOR OMRÅDET","NOT POSSIBLE",IF($E$6&lt;8.3,16,((((0.5*D15^3-3*D15^2+7.5*D15+11))))))</f>
        <v>NOT POSSIBLE</v>
      </c>
      <c r="F15" s="74" t="str">
        <f t="shared" si="0"/>
        <v>NOT POSSIBLE</v>
      </c>
      <c r="G15" s="13"/>
      <c r="H15" s="13"/>
      <c r="I15" s="13"/>
      <c r="J15" s="13"/>
      <c r="K15" s="15"/>
    </row>
    <row r="16" spans="1:12" ht="13.15" x14ac:dyDescent="0.4">
      <c r="A16" s="24" t="s">
        <v>72</v>
      </c>
      <c r="B16" s="25" t="s">
        <v>40</v>
      </c>
      <c r="C16" s="25" t="s">
        <v>53</v>
      </c>
      <c r="D16" s="67" t="str">
        <f>IF(J49="UDEN FOR OMRÅDET","NOT POSSIBLE",IF(K49="UDEN FOR OMRÅDET","NOT POSSIBLE",(0.00000156*E6^4-0.0001838*E6^3+0.00652234*E6^2+0.0239868*E6+0.17174038)))</f>
        <v>NOT POSSIBLE</v>
      </c>
      <c r="E16" s="54" t="str">
        <f>IF(J49="UDEN FOR OMRÅDET","NOT POSSIBLE",IF($E$6&lt;11,23,((((1.8245614*D16^3-9.20300752*D16^2+16.72431078*D16+13.67293233))))))</f>
        <v>NOT POSSIBLE</v>
      </c>
      <c r="F16" s="74" t="str">
        <f t="shared" si="0"/>
        <v>NOT POSSIBLE</v>
      </c>
      <c r="G16" s="13"/>
      <c r="H16" s="13"/>
      <c r="I16" s="13"/>
      <c r="J16" s="13"/>
      <c r="K16" s="15"/>
    </row>
    <row r="17" spans="1:13" ht="13.15" x14ac:dyDescent="0.4">
      <c r="A17" s="22" t="s">
        <v>73</v>
      </c>
      <c r="B17" s="23" t="s">
        <v>41</v>
      </c>
      <c r="C17" s="23" t="s">
        <v>54</v>
      </c>
      <c r="D17" s="67" t="str">
        <f>IF(J50="UDEN FOR OMRÅDET","NOT POSSIBLE",IF(K50="UDEN FOR OMRÅDET","NOT POSSIBLE",(0.0000006139*E6^4-0.000106561*E6^3+0.0058288674*E6^2-0.0444580014*E6+0.4579242305)))</f>
        <v>NOT POSSIBLE</v>
      </c>
      <c r="E17" s="54" t="str">
        <f>IF(J50="UDEN FOR OMRÅDET","NOT POSSIBLE",IF($E$6&lt;8.3,16,((((0.0000690761*E6^3-0.0045265849*E6^2+0.2633541895*E6+16.2995714859))))))</f>
        <v>NOT POSSIBLE</v>
      </c>
      <c r="F17" s="74" t="str">
        <f t="shared" si="0"/>
        <v>NOT POSSIBLE</v>
      </c>
      <c r="G17" s="13"/>
      <c r="H17" s="13"/>
      <c r="I17" s="13"/>
      <c r="J17" s="13"/>
      <c r="K17" s="15"/>
    </row>
    <row r="18" spans="1:13" ht="13.15" x14ac:dyDescent="0.4">
      <c r="A18" s="24" t="s">
        <v>74</v>
      </c>
      <c r="B18" s="25" t="s">
        <v>42</v>
      </c>
      <c r="C18" s="25" t="s">
        <v>51</v>
      </c>
      <c r="D18" s="67">
        <f>IF(J51="UDEN FOR OMRÅDET","NOT POSSIBLE",IF(K51="UDEN FOR OMRÅDET","NOT POSSIBLE",(0.0000002014*E6^4-0.0000448209*E6^3+0.0030842417*E6^2-0.0208500823*E6+0.3651879533)))</f>
        <v>3.4261349643278383</v>
      </c>
      <c r="E18" s="54">
        <f>IF(J51="UDEN FOR OMRÅDET","NOT POSSIBLE",IF($E$6&lt;8.3,16,((((0.0000124414*E6^3+0.0047437114*E6^2+0.0004843365*E6+27.4237821061))))))</f>
        <v>53.416181395684951</v>
      </c>
      <c r="F18" s="74">
        <f t="shared" si="0"/>
        <v>7.7473761172673541</v>
      </c>
      <c r="G18" s="13"/>
      <c r="H18" s="13"/>
      <c r="I18" s="13"/>
      <c r="J18" s="13"/>
      <c r="K18" s="15"/>
    </row>
    <row r="19" spans="1:13" ht="13.15" x14ac:dyDescent="0.4">
      <c r="A19" s="22" t="s">
        <v>78</v>
      </c>
      <c r="B19" s="23" t="s">
        <v>43</v>
      </c>
      <c r="C19" s="23" t="s">
        <v>52</v>
      </c>
      <c r="D19" s="67">
        <f>IF(J52="UDEN FOR OMRÅDET","NOT POSSIBLE",IF(K52="UDEN FOR OMRÅDET","NOT POSSIBLE",(-0.0000024*E6^3+0.00033459*E6^2+0.02873223*E6-0.03574711)))</f>
        <v>2.7161750266453106</v>
      </c>
      <c r="E19" s="54">
        <f>IF(J52="UDEN FOR OMRÅDET","NOT POSSIBLE",IF($E$6&lt;28.5,16,((((0.00004639*E6^3-0.00631449*E6^2+0.36332191*E6+9.70047171))))))</f>
        <v>19.815066648573442</v>
      </c>
      <c r="F19" s="74">
        <f t="shared" si="0"/>
        <v>2.8739376365757949</v>
      </c>
      <c r="G19" s="13"/>
      <c r="H19" s="13"/>
      <c r="I19" s="13"/>
      <c r="J19" s="13"/>
      <c r="K19" s="15"/>
    </row>
    <row r="20" spans="1:13" ht="13.15" x14ac:dyDescent="0.4">
      <c r="A20" s="24" t="s">
        <v>79</v>
      </c>
      <c r="B20" s="25" t="s">
        <v>44</v>
      </c>
      <c r="C20" s="25" t="s">
        <v>55</v>
      </c>
      <c r="D20" s="67">
        <f>IF(J53="UDEN FOR OMRÅDET","NOT POSSIBLE",IF(K53="UDEN FOR OMRÅDET","NOT POSSIBLE",(0.0000000087*E6^4-0.0000042912*E6^3+0.000602127*E6^2+0.0030265472*E6+0.2709223762)))</f>
        <v>2.1026817768273012</v>
      </c>
      <c r="E20" s="54">
        <f>IF(J53="UDEN FOR OMRÅDET","NOT POSSIBLE",IF($E$6&lt;36.5,27,((((0.00003815*E6^3-0.00623625*E6^2+0.39933964*E6+18.87714266))))))</f>
        <v>29.20247967352093</v>
      </c>
      <c r="F20" s="74">
        <f t="shared" si="0"/>
        <v>4.2354692468881288</v>
      </c>
      <c r="G20" s="13"/>
      <c r="H20" s="13"/>
      <c r="I20" s="13"/>
      <c r="J20" s="13"/>
      <c r="K20" s="15"/>
    </row>
    <row r="21" spans="1:13" ht="13.15" x14ac:dyDescent="0.4">
      <c r="A21" s="22" t="s">
        <v>80</v>
      </c>
      <c r="B21" s="23" t="s">
        <v>45</v>
      </c>
      <c r="C21" s="23" t="s">
        <v>56</v>
      </c>
      <c r="D21" s="67">
        <f>IF(J54="UDEN FOR OMRÅDET","NOT POSSIBLE",IF(K54="UDEN FOR OMRÅDET","NOT POSSIBLE",(0.0000000079*E6^4-0.0000031427*E6^3+0.0003781874*E6^2+0.0139576939*E6+0.0433215217)))</f>
        <v>1.9262900924359692</v>
      </c>
      <c r="E21" s="54">
        <f>IF(J54="UDEN FOR OMRÅDET","NOT POSSIBLE",IF($E$6&lt;70.4,21,((((-1.6666666667*D21^3+13.5*D21^2-27.8333333333*D21+37))))))</f>
        <v>21</v>
      </c>
      <c r="F21" s="74">
        <f t="shared" si="0"/>
        <v>3.045798</v>
      </c>
      <c r="G21" s="13"/>
      <c r="H21" s="13"/>
      <c r="I21" s="13"/>
      <c r="J21" s="13"/>
      <c r="K21" s="15"/>
    </row>
    <row r="22" spans="1:13" ht="13.15" x14ac:dyDescent="0.4">
      <c r="A22" s="24" t="s">
        <v>81</v>
      </c>
      <c r="B22" s="25" t="s">
        <v>46</v>
      </c>
      <c r="C22" s="25" t="s">
        <v>57</v>
      </c>
      <c r="D22" s="67">
        <f>IF(J55="UDEN FOR OMRÅDET","NOT POSSIBLE",IF(K55="UDEN FOR OMRÅDET","NOT POSSIBLE",(0.000000004262661*E6^4-0.000002203935325*E6^3+0.000349196460344*E6^2+0.003639383225018*E6+0.193846671691572)))</f>
        <v>1.4577247080435636</v>
      </c>
      <c r="E22" s="54">
        <f>IF(J55="UDEN FOR OMRÅDET","NOT POSSIBLE",IF($E$6&lt;89,33,((((-0.6666666667*D22^3+9.5*D22^2-22.8333333333*D22+47))))))</f>
        <v>33</v>
      </c>
      <c r="F22" s="74">
        <f t="shared" si="0"/>
        <v>4.7862539999999996</v>
      </c>
      <c r="G22" s="13"/>
      <c r="H22" s="13"/>
      <c r="I22" s="13"/>
      <c r="J22" s="13"/>
      <c r="K22" s="15"/>
    </row>
    <row r="23" spans="1:13" ht="13.15" x14ac:dyDescent="0.4">
      <c r="A23" s="22" t="s">
        <v>82</v>
      </c>
      <c r="B23" s="23" t="s">
        <v>65</v>
      </c>
      <c r="C23" s="23" t="s">
        <v>62</v>
      </c>
      <c r="D23" s="68" t="str">
        <f>IF(I56="UDEN FOR OMRÅDET","NOT POSSIBLE",IF(J56="UDEN FOR OMRÅDET","NOT POSSIBLE",(-0.000000006659004*E6^4+0.000004735461176*E6^3-0.001276874830972*E6^2+0.177325762767072*E6-7.83507332221808)))</f>
        <v>NOT POSSIBLE</v>
      </c>
      <c r="E23" s="56" t="str">
        <f>IF(J56="UDEN FOR OMRÅDET","NOT POSSIBLE",IF($E$6&lt;70.4,21,((((-0.5*D23^3+4.49999999999909*D23^2-4.99999999999727*D23+11.999999999996))))))</f>
        <v>NOT POSSIBLE</v>
      </c>
      <c r="F23" s="74" t="str">
        <f t="shared" si="0"/>
        <v>NOT POSSIBLE</v>
      </c>
      <c r="G23" s="13"/>
      <c r="H23" s="13"/>
      <c r="I23" s="13"/>
      <c r="J23" s="13"/>
      <c r="K23" s="15"/>
    </row>
    <row r="24" spans="1:13" ht="13.15" x14ac:dyDescent="0.4">
      <c r="A24" s="24" t="s">
        <v>83</v>
      </c>
      <c r="B24" s="25" t="s">
        <v>66</v>
      </c>
      <c r="C24" s="25" t="s">
        <v>63</v>
      </c>
      <c r="D24" s="68" t="str">
        <f>IF(I57="UDEN FOR OMRÅDET","NOT POSSIBLE",IF(J57="UDEN FOR OMRÅDET","NOT POSSIBLE",(-0.000000000611426*E6^4+0.000000656353947*E6^3-0.000284996728231*E6^2+0.074287325446848*E6-5.10628086784494)))</f>
        <v>NOT POSSIBLE</v>
      </c>
      <c r="E24" s="56" t="str">
        <f>IF(J57="UDEN FOR OMRÅDET","NOT POSSIBLE",IF($E$6&lt;89,33,((((-2.16666666666652*D24^3+17.9999999999977*D24^2-28.8333333333271*D24+43.9999999999905))))))</f>
        <v>NOT POSSIBLE</v>
      </c>
      <c r="F24" s="74" t="str">
        <f t="shared" si="0"/>
        <v>NOT POSSIBLE</v>
      </c>
      <c r="G24" s="13"/>
      <c r="H24" s="13"/>
      <c r="I24" s="13"/>
      <c r="J24" s="13"/>
      <c r="K24" s="15"/>
    </row>
    <row r="25" spans="1:13" ht="13.15" x14ac:dyDescent="0.4">
      <c r="A25" s="22" t="s">
        <v>84</v>
      </c>
      <c r="B25" s="23" t="s">
        <v>67</v>
      </c>
      <c r="C25" s="23" t="s">
        <v>64</v>
      </c>
      <c r="D25" s="68" t="str">
        <f>IF(I58="UDEN FOR OMRÅDET","NOT POSSIBLE",IF(J58="UDEN FOR OMRÅDET","NOT POSSIBLE",(-2.52847125E-12*E6^5+4.68657669347E-09*E6^4-3.38486827279208E-06*E6^3+0.00116642754838534*E6^2-0.177120541975483*E6+10.2818610440989)))</f>
        <v>NOT POSSIBLE</v>
      </c>
      <c r="E25" s="56" t="str">
        <f>IF(J58="UDEN FOR OMRÅDET","NOT POSSIBLE",IF($E$6&lt;70.4,21,((((-0.833333*D25^3+7.5*D25^2-11.666667*D25+15))))))</f>
        <v>NOT POSSIBLE</v>
      </c>
      <c r="F25" s="74" t="str">
        <f t="shared" si="0"/>
        <v>NOT POSSIBLE</v>
      </c>
      <c r="G25" s="13"/>
      <c r="H25" s="13"/>
      <c r="I25" s="13"/>
      <c r="J25" s="13"/>
      <c r="K25" s="15"/>
    </row>
    <row r="26" spans="1:13" ht="13.15" x14ac:dyDescent="0.4">
      <c r="A26" s="24" t="s">
        <v>85</v>
      </c>
      <c r="B26" s="25" t="s">
        <v>68</v>
      </c>
      <c r="C26" s="25" t="s">
        <v>50</v>
      </c>
      <c r="D26" s="68" t="str">
        <f>IF(I59="UDEN FOR OMRÅDET","NOT POSSIBLE",IF(J59="UDEN FOR OMRÅDET","NOT POSSIBLE",(8.5275752E-13*E6^5-1.96247855196E-09*E6^4+1.79855952093491E-06*E6^3-0.000825168971576492*E6^2+0.197731076146651*E6-18.0380359494749
)))</f>
        <v>NOT POSSIBLE</v>
      </c>
      <c r="E26" s="56" t="str">
        <f>IF(J59="UDEN FOR OMRÅDET","NOT POSSIBLE",IF($E$6&lt;89,33,((((-0.833333*D26^3+10*D26^2-14.166667*D26+20))))))</f>
        <v>NOT POSSIBLE</v>
      </c>
      <c r="F26" s="74" t="str">
        <f t="shared" si="0"/>
        <v>NOT POSSIBLE</v>
      </c>
      <c r="G26" s="13"/>
      <c r="H26" s="13"/>
      <c r="I26" s="13"/>
      <c r="J26" s="13"/>
      <c r="K26" s="15"/>
    </row>
    <row r="27" spans="1:13" ht="13.15" x14ac:dyDescent="0.4">
      <c r="A27" s="22" t="s">
        <v>86</v>
      </c>
      <c r="B27" s="23" t="s">
        <v>67</v>
      </c>
      <c r="C27" s="23" t="s">
        <v>64</v>
      </c>
      <c r="D27" s="68" t="str">
        <f>IF(I60="UDEN FOR OMRÅDET","NOT POSSIBLE",IF(J60="UDEN FOR OMRÅDET","NOT POSSIBLE",(-2.52847125E-12*E6^5+4.68657669347E-09*E6^4-3.38486827279208E-06*E6^3+0.00116642754838534*E6^2-0.177120541975483*E6+10.2818610440989)))</f>
        <v>NOT POSSIBLE</v>
      </c>
      <c r="E27" s="56" t="str">
        <f>IF(J60="UDEN FOR OMRÅDET","NOT POSSIBLE",IF($E$6&lt;70.4,21,((((-0.833333*D27^3+7.5*D27^2-11.666667*D27+15))))))</f>
        <v>NOT POSSIBLE</v>
      </c>
      <c r="F27" s="74" t="str">
        <f t="shared" si="0"/>
        <v>NOT POSSIBLE</v>
      </c>
      <c r="G27" s="13"/>
      <c r="H27" s="13"/>
      <c r="I27" s="13"/>
      <c r="J27" s="13"/>
      <c r="K27" s="15"/>
    </row>
    <row r="28" spans="1:13" ht="13.5" thickBot="1" x14ac:dyDescent="0.45">
      <c r="A28" s="26" t="s">
        <v>87</v>
      </c>
      <c r="B28" s="27" t="s">
        <v>68</v>
      </c>
      <c r="C28" s="27" t="s">
        <v>50</v>
      </c>
      <c r="D28" s="69" t="str">
        <f>IF(I61="UDEN FOR OMRÅDET","NOT POSSIBLE",IF(J61="UDEN FOR OMRÅDET","NOT POSSIBLE",(8.5275752E-13*E6^5-1.96247855196E-09*E6^4+1.79855952093491E-06*E6^3-0.000825168971576492*E6^2+0.197731076146651*E6-18.0380359494749
)))</f>
        <v>NOT POSSIBLE</v>
      </c>
      <c r="E28" s="57" t="str">
        <f>IF(J61="UDEN FOR OMRÅDET","NOT POSSIBLE",IF($E$6&lt;89,33,((((-0.833333*D28^3+10*D28^2-14.166667*D28+20))))))</f>
        <v>NOT POSSIBLE</v>
      </c>
      <c r="F28" s="75" t="str">
        <f t="shared" si="0"/>
        <v>NOT POSSIBLE</v>
      </c>
      <c r="G28" s="13"/>
      <c r="H28" s="13"/>
      <c r="I28" s="13"/>
      <c r="J28" s="13"/>
      <c r="K28" s="15"/>
    </row>
    <row r="29" spans="1:13" ht="13.15" thickTop="1" x14ac:dyDescent="0.35">
      <c r="A29" s="12"/>
      <c r="B29" s="13"/>
      <c r="C29" s="13"/>
      <c r="D29" s="13"/>
      <c r="G29" s="13"/>
      <c r="H29" s="13"/>
      <c r="I29" s="13"/>
      <c r="J29" s="13"/>
      <c r="K29" s="15"/>
    </row>
    <row r="30" spans="1:13" x14ac:dyDescent="0.35">
      <c r="A30" s="12"/>
      <c r="B30" s="13"/>
      <c r="C30" s="13"/>
      <c r="D30" s="13"/>
      <c r="G30" s="13"/>
      <c r="H30" s="13"/>
      <c r="I30" s="13"/>
      <c r="J30" s="13"/>
      <c r="K30" s="15"/>
      <c r="M30" s="28"/>
    </row>
    <row r="31" spans="1:13" x14ac:dyDescent="0.35">
      <c r="A31" s="12"/>
      <c r="B31" s="13"/>
      <c r="C31" s="13"/>
      <c r="D31" s="13"/>
      <c r="G31" s="13"/>
      <c r="H31" s="13"/>
      <c r="I31" s="13"/>
      <c r="J31" s="13"/>
      <c r="K31" s="15"/>
    </row>
    <row r="32" spans="1:13" x14ac:dyDescent="0.35">
      <c r="A32" s="12"/>
      <c r="B32" s="13"/>
      <c r="C32" s="13"/>
      <c r="D32" s="13"/>
      <c r="G32" s="13"/>
      <c r="H32" s="13"/>
      <c r="I32" s="13"/>
      <c r="J32" s="13"/>
      <c r="K32" s="15"/>
    </row>
    <row r="33" spans="1:16" x14ac:dyDescent="0.35">
      <c r="A33" s="12"/>
      <c r="B33" s="13"/>
      <c r="C33" s="13"/>
      <c r="D33" s="13"/>
      <c r="G33" s="13"/>
      <c r="H33" s="13"/>
      <c r="I33" s="13"/>
      <c r="J33" s="13"/>
      <c r="K33" s="15"/>
    </row>
    <row r="34" spans="1:16" x14ac:dyDescent="0.35">
      <c r="A34" s="12"/>
      <c r="B34" s="13"/>
      <c r="C34" s="13"/>
      <c r="D34" s="13"/>
      <c r="G34" s="13"/>
      <c r="H34" s="13"/>
      <c r="I34" s="13"/>
      <c r="J34" s="13"/>
      <c r="K34" s="15"/>
    </row>
    <row r="35" spans="1:16" x14ac:dyDescent="0.35">
      <c r="A35" s="12"/>
      <c r="B35" s="13"/>
      <c r="C35" s="13"/>
      <c r="D35" s="13"/>
      <c r="G35" s="13"/>
      <c r="H35" s="13"/>
      <c r="I35" s="13"/>
      <c r="J35" s="13"/>
      <c r="K35" s="15"/>
    </row>
    <row r="36" spans="1:16" x14ac:dyDescent="0.35">
      <c r="A36" s="12"/>
      <c r="B36" s="13"/>
      <c r="C36" s="13"/>
      <c r="D36" s="13"/>
      <c r="G36" s="13"/>
      <c r="H36" s="13"/>
      <c r="I36" s="13"/>
      <c r="J36" s="13"/>
      <c r="K36" s="15"/>
    </row>
    <row r="37" spans="1:16" x14ac:dyDescent="0.35">
      <c r="A37" s="12"/>
      <c r="B37" s="13"/>
      <c r="C37" s="13"/>
      <c r="D37" s="13"/>
      <c r="E37" s="29"/>
      <c r="F37" s="29"/>
      <c r="G37" s="13"/>
      <c r="H37" s="13"/>
      <c r="I37" s="13"/>
      <c r="J37" s="13"/>
      <c r="K37" s="15"/>
    </row>
    <row r="38" spans="1:16" ht="13.15" thickBot="1" x14ac:dyDescent="0.4">
      <c r="A38" s="2" t="s">
        <v>17</v>
      </c>
      <c r="B38" s="30"/>
      <c r="C38" s="30"/>
      <c r="D38" s="31"/>
      <c r="E38" s="30"/>
      <c r="F38" s="30"/>
      <c r="G38" s="30"/>
      <c r="H38" s="30"/>
      <c r="I38" s="30"/>
      <c r="J38" s="30"/>
      <c r="K38" s="32"/>
    </row>
    <row r="39" spans="1:16" ht="10.5" customHeight="1" thickTop="1" x14ac:dyDescent="0.35">
      <c r="D39" s="33"/>
    </row>
    <row r="40" spans="1:16" x14ac:dyDescent="0.35">
      <c r="D40" s="33"/>
      <c r="M40" s="34"/>
      <c r="N40" s="34"/>
    </row>
    <row r="41" spans="1:16" s="37" customFormat="1" ht="31.5" hidden="1" customHeight="1" x14ac:dyDescent="0.7">
      <c r="A41" s="76" t="s">
        <v>7</v>
      </c>
      <c r="B41" s="76"/>
      <c r="C41" s="76"/>
      <c r="D41" s="77"/>
      <c r="E41" s="77"/>
      <c r="F41" s="77"/>
      <c r="G41" s="77"/>
      <c r="H41" s="77"/>
      <c r="I41" s="77"/>
      <c r="J41" s="77"/>
      <c r="K41" s="77"/>
      <c r="L41" s="35"/>
      <c r="M41" s="36"/>
      <c r="N41" s="36"/>
      <c r="O41" s="36"/>
      <c r="P41" s="36"/>
    </row>
    <row r="42" spans="1:16" ht="13.15" hidden="1" thickBot="1" x14ac:dyDescent="0.4"/>
    <row r="43" spans="1:16" ht="13.9" hidden="1" thickTop="1" thickBot="1" x14ac:dyDescent="0.45">
      <c r="A43" s="38" t="s">
        <v>0</v>
      </c>
      <c r="B43" s="39"/>
      <c r="C43" s="39"/>
      <c r="D43" s="40" t="s">
        <v>1</v>
      </c>
      <c r="E43" s="40" t="s">
        <v>2</v>
      </c>
      <c r="F43" s="40"/>
      <c r="G43" s="40" t="s">
        <v>6</v>
      </c>
      <c r="H43" s="40" t="s">
        <v>3</v>
      </c>
      <c r="I43" s="40" t="s">
        <v>4</v>
      </c>
      <c r="J43" s="41" t="s">
        <v>5</v>
      </c>
      <c r="K43" s="42"/>
    </row>
    <row r="44" spans="1:16" hidden="1" x14ac:dyDescent="0.35">
      <c r="A44" s="43" t="s">
        <v>18</v>
      </c>
      <c r="B44" s="44"/>
      <c r="C44" s="44"/>
      <c r="D44" s="45"/>
      <c r="E44" s="46"/>
      <c r="F44" s="46"/>
      <c r="G44" s="47">
        <v>33.5</v>
      </c>
      <c r="H44" s="48">
        <v>2.48</v>
      </c>
      <c r="I44" s="49">
        <v>15</v>
      </c>
      <c r="J44" s="50" t="str">
        <f t="shared" ref="J44:J55" si="1">IF($E$6&lt;=H44-0.001,"UDEN FOR OMRÅDET",IF($E$6&gt;=I44+0.1,"UDEN FOR OMRÅDET",$E$6))</f>
        <v>UDEN FOR OMRÅDET</v>
      </c>
      <c r="K44" s="51"/>
    </row>
    <row r="45" spans="1:16" hidden="1" x14ac:dyDescent="0.35">
      <c r="A45" s="52" t="s">
        <v>19</v>
      </c>
      <c r="B45" s="44"/>
      <c r="C45" s="44"/>
      <c r="D45" s="45"/>
      <c r="E45" s="45"/>
      <c r="F45" s="45"/>
      <c r="G45" s="47">
        <v>33.5</v>
      </c>
      <c r="H45" s="48">
        <v>3.92</v>
      </c>
      <c r="I45" s="49">
        <v>24</v>
      </c>
      <c r="J45" s="50" t="str">
        <f t="shared" si="1"/>
        <v>UDEN FOR OMRÅDET</v>
      </c>
      <c r="K45" s="51"/>
    </row>
    <row r="46" spans="1:16" hidden="1" x14ac:dyDescent="0.35">
      <c r="A46" s="53" t="s">
        <v>20</v>
      </c>
      <c r="B46" s="44"/>
      <c r="C46" s="44"/>
      <c r="D46" s="45"/>
      <c r="E46" s="45"/>
      <c r="F46" s="45"/>
      <c r="G46" s="47">
        <v>50</v>
      </c>
      <c r="H46" s="48">
        <v>4.38</v>
      </c>
      <c r="I46" s="49">
        <v>25</v>
      </c>
      <c r="J46" s="50" t="str">
        <f t="shared" si="1"/>
        <v>UDEN FOR OMRÅDET</v>
      </c>
      <c r="K46" s="51"/>
    </row>
    <row r="47" spans="1:16" hidden="1" x14ac:dyDescent="0.35">
      <c r="A47" s="52" t="s">
        <v>21</v>
      </c>
      <c r="B47" s="44"/>
      <c r="C47" s="44"/>
      <c r="D47" s="45"/>
      <c r="E47" s="45"/>
      <c r="F47" s="45"/>
      <c r="G47" s="47">
        <v>50</v>
      </c>
      <c r="H47" s="48">
        <v>5.95</v>
      </c>
      <c r="I47" s="49">
        <v>35</v>
      </c>
      <c r="J47" s="50" t="str">
        <f t="shared" si="1"/>
        <v>UDEN FOR OMRÅDET</v>
      </c>
      <c r="K47" s="51"/>
    </row>
    <row r="48" spans="1:16" hidden="1" x14ac:dyDescent="0.35">
      <c r="A48" s="53" t="s">
        <v>22</v>
      </c>
      <c r="B48" s="44"/>
      <c r="C48" s="44"/>
      <c r="D48" s="45"/>
      <c r="E48" s="45"/>
      <c r="F48" s="45"/>
      <c r="G48" s="47">
        <v>68</v>
      </c>
      <c r="H48" s="48">
        <v>5.3</v>
      </c>
      <c r="I48" s="49">
        <v>34</v>
      </c>
      <c r="J48" s="50" t="str">
        <f t="shared" si="1"/>
        <v>UDEN FOR OMRÅDET</v>
      </c>
      <c r="K48" s="51"/>
    </row>
    <row r="49" spans="1:11" hidden="1" x14ac:dyDescent="0.35">
      <c r="A49" s="52" t="s">
        <v>23</v>
      </c>
      <c r="B49" s="44"/>
      <c r="C49" s="44"/>
      <c r="D49" s="45"/>
      <c r="E49" s="45"/>
      <c r="F49" s="45"/>
      <c r="G49" s="47">
        <v>68</v>
      </c>
      <c r="H49" s="48">
        <v>7</v>
      </c>
      <c r="I49" s="49">
        <v>43</v>
      </c>
      <c r="J49" s="50" t="str">
        <f t="shared" si="1"/>
        <v>UDEN FOR OMRÅDET</v>
      </c>
      <c r="K49" s="51"/>
    </row>
    <row r="50" spans="1:11" hidden="1" x14ac:dyDescent="0.35">
      <c r="A50" s="53" t="s">
        <v>24</v>
      </c>
      <c r="B50" s="44"/>
      <c r="C50" s="44"/>
      <c r="D50" s="45"/>
      <c r="E50" s="45"/>
      <c r="F50" s="45"/>
      <c r="G50" s="47">
        <v>115</v>
      </c>
      <c r="H50" s="48">
        <v>12.1</v>
      </c>
      <c r="I50" s="49">
        <v>68</v>
      </c>
      <c r="J50" s="50" t="str">
        <f t="shared" si="1"/>
        <v>UDEN FOR OMRÅDET</v>
      </c>
      <c r="K50" s="51"/>
    </row>
    <row r="51" spans="1:11" hidden="1" x14ac:dyDescent="0.35">
      <c r="A51" s="52" t="s">
        <v>25</v>
      </c>
      <c r="B51" s="44"/>
      <c r="C51" s="44"/>
      <c r="D51" s="45"/>
      <c r="E51" s="45"/>
      <c r="F51" s="45"/>
      <c r="G51" s="47">
        <v>115</v>
      </c>
      <c r="H51" s="48">
        <v>14.8</v>
      </c>
      <c r="I51" s="49">
        <v>90</v>
      </c>
      <c r="J51" s="50">
        <f t="shared" si="1"/>
        <v>68.137410000000003</v>
      </c>
      <c r="K51" s="51"/>
    </row>
    <row r="52" spans="1:11" hidden="1" x14ac:dyDescent="0.35">
      <c r="A52" s="53" t="s">
        <v>26</v>
      </c>
      <c r="B52" s="44"/>
      <c r="C52" s="44"/>
      <c r="D52" s="45"/>
      <c r="E52" s="45"/>
      <c r="F52" s="45"/>
      <c r="G52" s="47">
        <v>167</v>
      </c>
      <c r="H52" s="5">
        <v>18.5</v>
      </c>
      <c r="I52" s="49">
        <v>110</v>
      </c>
      <c r="J52" s="50">
        <f t="shared" si="1"/>
        <v>68.137410000000003</v>
      </c>
      <c r="K52" s="51"/>
    </row>
    <row r="53" spans="1:11" hidden="1" x14ac:dyDescent="0.35">
      <c r="A53" s="52" t="s">
        <v>27</v>
      </c>
      <c r="B53" s="44"/>
      <c r="C53" s="44"/>
      <c r="D53" s="45"/>
      <c r="E53" s="45"/>
      <c r="F53" s="45"/>
      <c r="G53" s="47">
        <v>167</v>
      </c>
      <c r="H53" s="5">
        <v>23</v>
      </c>
      <c r="I53" s="49">
        <v>135</v>
      </c>
      <c r="J53" s="50">
        <f t="shared" si="1"/>
        <v>68.137410000000003</v>
      </c>
      <c r="K53" s="51"/>
    </row>
    <row r="54" spans="1:11" hidden="1" x14ac:dyDescent="0.35">
      <c r="A54" s="53" t="s">
        <v>28</v>
      </c>
      <c r="B54" s="44"/>
      <c r="C54" s="44"/>
      <c r="D54" s="45"/>
      <c r="E54" s="45"/>
      <c r="F54" s="45"/>
      <c r="G54" s="47">
        <v>250</v>
      </c>
      <c r="H54" s="5">
        <v>25.6</v>
      </c>
      <c r="I54" s="49">
        <v>148</v>
      </c>
      <c r="J54" s="50">
        <f t="shared" si="1"/>
        <v>68.137410000000003</v>
      </c>
      <c r="K54" s="51"/>
    </row>
    <row r="55" spans="1:11" hidden="1" x14ac:dyDescent="0.35">
      <c r="A55" s="52" t="s">
        <v>29</v>
      </c>
      <c r="B55" s="44"/>
      <c r="C55" s="44"/>
      <c r="D55" s="45"/>
      <c r="E55" s="45"/>
      <c r="F55" s="45"/>
      <c r="G55" s="47">
        <v>241.9</v>
      </c>
      <c r="H55" s="5">
        <v>32</v>
      </c>
      <c r="I55" s="49">
        <v>195</v>
      </c>
      <c r="J55" s="50">
        <f t="shared" si="1"/>
        <v>68.137410000000003</v>
      </c>
      <c r="K55" s="51"/>
    </row>
    <row r="56" spans="1:11" hidden="1" x14ac:dyDescent="0.35">
      <c r="A56" s="53" t="s">
        <v>30</v>
      </c>
      <c r="B56" s="44"/>
      <c r="C56" s="44"/>
      <c r="D56" s="45"/>
      <c r="E56" s="45"/>
      <c r="F56" s="45"/>
      <c r="G56" s="47">
        <v>371</v>
      </c>
      <c r="H56" s="5">
        <v>95</v>
      </c>
      <c r="I56" s="49">
        <v>210</v>
      </c>
      <c r="J56" s="50" t="str">
        <f t="shared" ref="J56:J61" si="2">IF($E$6&lt;H56,"UDEN FOR OMRÅDET",IF($E$6&gt;I56,"UDEN FOR OMRÅDET",$E$6))</f>
        <v>UDEN FOR OMRÅDET</v>
      </c>
      <c r="K56" s="51"/>
    </row>
    <row r="57" spans="1:11" hidden="1" x14ac:dyDescent="0.35">
      <c r="A57" s="52" t="s">
        <v>31</v>
      </c>
      <c r="B57" s="44"/>
      <c r="C57" s="44"/>
      <c r="D57" s="45"/>
      <c r="E57" s="45"/>
      <c r="F57" s="45"/>
      <c r="G57" s="47">
        <v>317</v>
      </c>
      <c r="H57" s="5">
        <v>130</v>
      </c>
      <c r="I57" s="49">
        <v>280</v>
      </c>
      <c r="J57" s="50" t="str">
        <f t="shared" si="2"/>
        <v>UDEN FOR OMRÅDET</v>
      </c>
      <c r="K57" s="51"/>
    </row>
    <row r="58" spans="1:11" hidden="1" x14ac:dyDescent="0.35">
      <c r="A58" s="53" t="s">
        <v>58</v>
      </c>
      <c r="G58" s="47">
        <v>840</v>
      </c>
      <c r="H58" s="5">
        <v>190</v>
      </c>
      <c r="I58" s="49">
        <v>475</v>
      </c>
      <c r="J58" s="50" t="str">
        <f t="shared" si="2"/>
        <v>UDEN FOR OMRÅDET</v>
      </c>
    </row>
    <row r="59" spans="1:11" hidden="1" x14ac:dyDescent="0.35">
      <c r="A59" s="52" t="s">
        <v>59</v>
      </c>
      <c r="G59" s="47">
        <v>717</v>
      </c>
      <c r="H59" s="5">
        <v>245</v>
      </c>
      <c r="I59" s="49">
        <v>600</v>
      </c>
      <c r="J59" s="50" t="str">
        <f t="shared" si="2"/>
        <v>UDEN FOR OMRÅDET</v>
      </c>
    </row>
    <row r="60" spans="1:11" hidden="1" x14ac:dyDescent="0.35">
      <c r="A60" s="53" t="s">
        <v>60</v>
      </c>
      <c r="G60" s="47">
        <v>840</v>
      </c>
      <c r="H60" s="5">
        <v>190</v>
      </c>
      <c r="I60" s="49">
        <v>475</v>
      </c>
      <c r="J60" s="50" t="str">
        <f t="shared" si="2"/>
        <v>UDEN FOR OMRÅDET</v>
      </c>
    </row>
    <row r="61" spans="1:11" hidden="1" x14ac:dyDescent="0.35">
      <c r="A61" s="52" t="s">
        <v>61</v>
      </c>
      <c r="G61" s="47">
        <v>717</v>
      </c>
      <c r="H61" s="5">
        <v>245</v>
      </c>
      <c r="I61" s="49">
        <v>600</v>
      </c>
      <c r="J61" s="50" t="str">
        <f t="shared" si="2"/>
        <v>UDEN FOR OMRÅDET</v>
      </c>
    </row>
    <row r="62" spans="1:11" hidden="1" x14ac:dyDescent="0.35"/>
    <row r="63" spans="1:11" hidden="1" x14ac:dyDescent="0.35"/>
  </sheetData>
  <sheetProtection algorithmName="SHA-512" hashValue="M5G07HLSeEfrc/TqDtDSlepxJXzwBenAHk0SCXcEMMv8beuCx0RtyRAn7l+dLBkl93UhQE7EUO43qL1AyxWyiw==" saltValue="CMnYA0NEK5T1Xt4rj9zbew==" spinCount="100000" sheet="1" selectLockedCells="1"/>
  <mergeCells count="4">
    <mergeCell ref="A41:K41"/>
    <mergeCell ref="A9:A10"/>
    <mergeCell ref="B9:C9"/>
    <mergeCell ref="D9:F9"/>
  </mergeCells>
  <pageMargins left="0.78740157480314965" right="0.39370078740157483" top="0.98425196850393704" bottom="0.98425196850393704" header="0.51181102362204722" footer="0.51181102362204722"/>
  <pageSetup paperSize="9" scale="10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Bray Simple Set Max</vt:lpstr>
      <vt:lpstr>'Bray Simple Set Max'!Print_Area</vt:lpstr>
    </vt:vector>
  </TitlesOfParts>
  <Company>Frese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Johansen</dc:creator>
  <cp:lastModifiedBy>Erich Schroeder</cp:lastModifiedBy>
  <cp:lastPrinted>2016-03-04T13:40:24Z</cp:lastPrinted>
  <dcterms:created xsi:type="dcterms:W3CDTF">2004-11-24T15:05:14Z</dcterms:created>
  <dcterms:modified xsi:type="dcterms:W3CDTF">2019-10-10T18:25:52Z</dcterms:modified>
</cp:coreProperties>
</file>